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<sst xmlns="http://schemas.openxmlformats.org/spreadsheetml/2006/main" count="129" uniqueCount="95">
  <si>
    <t>Frequency:</t>
  </si>
  <si>
    <t>Wave:</t>
  </si>
  <si>
    <t>Feet</t>
  </si>
  <si>
    <t>Inches</t>
  </si>
  <si>
    <t>Feet:</t>
  </si>
  <si>
    <t>Inches:</t>
  </si>
  <si>
    <t>Mhz</t>
  </si>
  <si>
    <t>Free Space</t>
  </si>
  <si>
    <t>Formulas</t>
  </si>
  <si>
    <t>Formulas:</t>
  </si>
  <si>
    <t>J-Pole Dimensions</t>
  </si>
  <si>
    <t>A</t>
  </si>
  <si>
    <t>B</t>
  </si>
  <si>
    <t>C</t>
  </si>
  <si>
    <t>D</t>
  </si>
  <si>
    <t>Long Element</t>
  </si>
  <si>
    <t>Short Element</t>
  </si>
  <si>
    <t>Spacing Between A &amp; B</t>
  </si>
  <si>
    <t>Feedline Placement</t>
  </si>
  <si>
    <t>Actual Antenna Heights</t>
  </si>
  <si>
    <t>Beam Antenna</t>
  </si>
  <si>
    <t>Reflector</t>
  </si>
  <si>
    <t>Director</t>
  </si>
  <si>
    <t>Driven 1</t>
  </si>
  <si>
    <t>Driven 2</t>
  </si>
  <si>
    <t>.15 lambda</t>
  </si>
  <si>
    <t>.20 Lambda</t>
  </si>
  <si>
    <t>Driven 3</t>
  </si>
  <si>
    <t>234/F(Mhz)</t>
  </si>
  <si>
    <t>Stub</t>
  </si>
  <si>
    <t>Spacing</t>
  </si>
  <si>
    <t>2m</t>
  </si>
  <si>
    <t>stub &amp; Le space</t>
  </si>
  <si>
    <t>Stub &amp; LE Space</t>
  </si>
  <si>
    <t>2808/F(Mhz)</t>
  </si>
  <si>
    <t>8460/F(Mhz)</t>
  </si>
  <si>
    <t>276/F(Mhz)</t>
  </si>
  <si>
    <t>264/F(Mhz)</t>
  </si>
  <si>
    <t>150/F(Mhz)</t>
  </si>
  <si>
    <t>117/F(Mhz)</t>
  </si>
  <si>
    <t>143/F(Mhz)</t>
  </si>
  <si>
    <t>138/F(Mhz)</t>
  </si>
  <si>
    <t>351/F(Mhz)</t>
  </si>
  <si>
    <t>134/F(Mhz)</t>
  </si>
  <si>
    <t>468/F(Mhz)</t>
  </si>
  <si>
    <t>45/F(Mhz)</t>
  </si>
  <si>
    <t>585/F(Mhz)</t>
  </si>
  <si>
    <t>702/F(Mhz)</t>
  </si>
  <si>
    <t>819/F(Mhz)</t>
  </si>
  <si>
    <t>J Pole Long element (in Inches) = 8568 / F Mhz</t>
  </si>
  <si>
    <t>936/F(Mhz)</t>
  </si>
  <si>
    <t>J pole Stub (in inches) = 2952 / F in Mhz</t>
  </si>
  <si>
    <t>Reflector (in inches) = 5880 / F in Mhz</t>
  </si>
  <si>
    <t>130/F(Mhz)</t>
  </si>
  <si>
    <t>Director (in inches) = 4704 / F in Mhz</t>
  </si>
  <si>
    <t>120/F(Mhz)</t>
  </si>
  <si>
    <t>Spacing (in inches) = 2352 / F in Mhz</t>
  </si>
  <si>
    <t>123/F(Mhz)</t>
  </si>
  <si>
    <t>60/F(Mhz)</t>
  </si>
  <si>
    <t>246/F(Mhz)</t>
  </si>
  <si>
    <t>369/F(Mhz)</t>
  </si>
  <si>
    <t>492/F(Mhz)</t>
  </si>
  <si>
    <t>615/F(Mhz)</t>
  </si>
  <si>
    <t>705/F(Mhz)</t>
  </si>
  <si>
    <t>738/F(Mhz)</t>
  </si>
  <si>
    <t>861/F(Mhz)</t>
  </si>
  <si>
    <t>23/F(Mhz)</t>
  </si>
  <si>
    <t>984/F(Mhz)</t>
  </si>
  <si>
    <t>22/F(Mhz)</t>
  </si>
  <si>
    <t>J-Pole Beam</t>
  </si>
  <si>
    <t>Driven</t>
  </si>
  <si>
    <t>Director 1</t>
  </si>
  <si>
    <t>Director 2</t>
  </si>
  <si>
    <t>Gamma</t>
  </si>
  <si>
    <t>Width</t>
  </si>
  <si>
    <t>Capacitance</t>
  </si>
  <si>
    <t>PFD</t>
  </si>
  <si>
    <t>L/4</t>
  </si>
  <si>
    <t>L*4</t>
  </si>
  <si>
    <t>Quad Beam</t>
  </si>
  <si>
    <t>11808/F(Mhz)</t>
  </si>
  <si>
    <t>5904/F(Mhz)</t>
  </si>
  <si>
    <t>2952/F(Mhz)</t>
  </si>
  <si>
    <t>1476/F(Mhz)</t>
  </si>
  <si>
    <t>4428/F(Mhz)</t>
  </si>
  <si>
    <t>7380/F(Mhz)</t>
  </si>
  <si>
    <t>8856/F(Mhz)</t>
  </si>
  <si>
    <t>10332/F(Mhz)</t>
  </si>
  <si>
    <t>11232/F(Mhz)</t>
  </si>
  <si>
    <t>5616/F(Mhz)</t>
  </si>
  <si>
    <t>1404/F(Mhz)</t>
  </si>
  <si>
    <t>4212/F(Mhz)</t>
  </si>
  <si>
    <t>7020/F(Mhz)</t>
  </si>
  <si>
    <t>8424/F(Mhz)</t>
  </si>
  <si>
    <t>9828/F(Mhz)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</si>
</sst>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0.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38" fillId="0" borderId="0" xfId="0" applyFont="1" applyAlignment="1">
      <alignment/>
    </xf>
    <xf numFmtId="164" fontId="4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7</xdr:col>
      <xdr:colOff>333375</xdr:colOff>
      <xdr:row>71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143750"/>
          <a:ext cx="49911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35</xdr:row>
      <xdr:rowOff>190500</xdr:rowOff>
    </xdr:from>
    <xdr:to>
      <xdr:col>16</xdr:col>
      <xdr:colOff>123825</xdr:colOff>
      <xdr:row>58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143750"/>
          <a:ext cx="56007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58</xdr:row>
      <xdr:rowOff>0</xdr:rowOff>
    </xdr:from>
    <xdr:to>
      <xdr:col>18</xdr:col>
      <xdr:colOff>9525</xdr:colOff>
      <xdr:row>86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1334750"/>
          <a:ext cx="662940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6</xdr:col>
      <xdr:colOff>571500</xdr:colOff>
      <xdr:row>105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13811250"/>
          <a:ext cx="4619625" cy="652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86</xdr:row>
      <xdr:rowOff>161925</xdr:rowOff>
    </xdr:from>
    <xdr:to>
      <xdr:col>16</xdr:col>
      <xdr:colOff>542925</xdr:colOff>
      <xdr:row>109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16830675"/>
          <a:ext cx="63150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7.00390625" style="0" customWidth="1"/>
    <col min="2" max="2" width="9.7109375" style="0" customWidth="1"/>
    <col min="3" max="3" width="12.140625" style="0" customWidth="1"/>
    <col min="4" max="4" width="14.140625" style="0" customWidth="1"/>
    <col min="5" max="5" width="13.7109375" style="0" customWidth="1"/>
    <col min="6" max="6" width="11.00390625" style="0" customWidth="1"/>
    <col min="9" max="9" width="13.7109375" style="0" customWidth="1"/>
    <col min="11" max="11" width="13.57421875" style="0" customWidth="1"/>
  </cols>
  <sheetData>
    <row r="1" spans="1:15" ht="18.75">
      <c r="A1" s="2" t="s">
        <v>0</v>
      </c>
      <c r="B1" s="4">
        <v>146</v>
      </c>
      <c r="C1" s="6" t="s">
        <v>6</v>
      </c>
      <c r="F1" s="18" t="s">
        <v>20</v>
      </c>
      <c r="G1" s="18"/>
      <c r="H1" s="18"/>
      <c r="I1" s="18"/>
      <c r="K1" s="18" t="s">
        <v>69</v>
      </c>
      <c r="L1" s="18"/>
      <c r="M1" s="18"/>
      <c r="N1" s="18"/>
      <c r="O1" s="18"/>
    </row>
    <row r="3" spans="1:15" ht="18.75">
      <c r="A3" s="18" t="s">
        <v>19</v>
      </c>
      <c r="B3" s="18"/>
      <c r="C3" s="18"/>
      <c r="D3" s="18"/>
      <c r="G3" s="6" t="s">
        <v>2</v>
      </c>
      <c r="H3" s="6" t="s">
        <v>3</v>
      </c>
      <c r="I3" s="6" t="s">
        <v>8</v>
      </c>
      <c r="M3" s="6" t="s">
        <v>31</v>
      </c>
      <c r="N3" s="6">
        <v>224</v>
      </c>
      <c r="O3" s="6">
        <v>444</v>
      </c>
    </row>
    <row r="4" spans="1:15" ht="15">
      <c r="A4" t="s">
        <v>1</v>
      </c>
      <c r="B4" s="6" t="s">
        <v>4</v>
      </c>
      <c r="C4" s="6" t="s">
        <v>5</v>
      </c>
      <c r="D4" s="6" t="s">
        <v>9</v>
      </c>
      <c r="E4" s="15" t="s">
        <v>3</v>
      </c>
      <c r="F4" s="8" t="s">
        <v>21</v>
      </c>
      <c r="G4" s="11">
        <f>150/B1</f>
        <v>1.0273972602739727</v>
      </c>
      <c r="H4" s="11">
        <f>G4*12</f>
        <v>12.328767123287673</v>
      </c>
      <c r="I4" s="6" t="s">
        <v>38</v>
      </c>
      <c r="K4" t="s">
        <v>15</v>
      </c>
      <c r="L4" s="12">
        <f>8568/B1</f>
        <v>58.68493150684932</v>
      </c>
      <c r="M4" s="10">
        <v>58.5</v>
      </c>
      <c r="N4" s="6">
        <v>38.25</v>
      </c>
      <c r="O4" s="6">
        <v>19.29</v>
      </c>
    </row>
    <row r="5" spans="1:15" ht="15">
      <c r="A5" s="10">
        <v>0.125</v>
      </c>
      <c r="B5" s="11">
        <f>(117/B1)</f>
        <v>0.8013698630136986</v>
      </c>
      <c r="C5" s="11">
        <f>B5*12</f>
        <v>9.616438356164384</v>
      </c>
      <c r="D5" s="6" t="s">
        <v>39</v>
      </c>
      <c r="E5" t="s">
        <v>90</v>
      </c>
      <c r="F5" t="s">
        <v>22</v>
      </c>
      <c r="G5" s="11">
        <f>143/B1</f>
        <v>0.9794520547945206</v>
      </c>
      <c r="H5" s="11">
        <f>G5*12</f>
        <v>11.753424657534246</v>
      </c>
      <c r="I5" s="6" t="s">
        <v>40</v>
      </c>
      <c r="K5" t="s">
        <v>29</v>
      </c>
      <c r="L5" s="12">
        <f>2952/B1</f>
        <v>20.21917808219178</v>
      </c>
      <c r="M5" s="10">
        <v>20.25</v>
      </c>
      <c r="N5" s="6">
        <v>13.17</v>
      </c>
      <c r="O5" s="6">
        <v>6.6</v>
      </c>
    </row>
    <row r="6" spans="1:15" ht="15">
      <c r="A6" s="10">
        <v>0.25</v>
      </c>
      <c r="B6" s="11">
        <f>B5*2</f>
        <v>1.6027397260273972</v>
      </c>
      <c r="C6" s="11">
        <f aca="true" t="shared" si="0" ref="C6:C12">B6*12</f>
        <v>19.232876712328768</v>
      </c>
      <c r="D6" s="6" t="s">
        <v>28</v>
      </c>
      <c r="E6" t="s">
        <v>34</v>
      </c>
      <c r="F6" t="s">
        <v>23</v>
      </c>
      <c r="G6" s="11">
        <f>138/B1</f>
        <v>0.9452054794520548</v>
      </c>
      <c r="H6" s="11">
        <f>G6*12</f>
        <v>11.342465753424658</v>
      </c>
      <c r="I6" s="6" t="s">
        <v>41</v>
      </c>
      <c r="K6" t="s">
        <v>21</v>
      </c>
      <c r="L6" s="12">
        <f>5880/B1</f>
        <v>40.273972602739725</v>
      </c>
      <c r="M6" s="6">
        <v>40</v>
      </c>
      <c r="N6" s="6">
        <v>26.52</v>
      </c>
      <c r="O6" s="6">
        <v>13.24</v>
      </c>
    </row>
    <row r="7" spans="1:15" ht="15">
      <c r="A7" s="10">
        <v>0.375</v>
      </c>
      <c r="B7" s="11">
        <f>B5*3</f>
        <v>2.404109589041096</v>
      </c>
      <c r="C7" s="11">
        <f t="shared" si="0"/>
        <v>28.84931506849315</v>
      </c>
      <c r="D7" s="6" t="s">
        <v>42</v>
      </c>
      <c r="E7" t="s">
        <v>91</v>
      </c>
      <c r="F7" t="s">
        <v>24</v>
      </c>
      <c r="G7" s="11">
        <f>134/B1</f>
        <v>0.9178082191780822</v>
      </c>
      <c r="H7" s="11">
        <f>G7*12</f>
        <v>11.013698630136986</v>
      </c>
      <c r="I7" s="6" t="s">
        <v>43</v>
      </c>
      <c r="K7" t="s">
        <v>22</v>
      </c>
      <c r="L7" s="12">
        <f>4704/B1</f>
        <v>32.21917808219178</v>
      </c>
      <c r="M7" s="6">
        <v>32</v>
      </c>
      <c r="N7" s="6">
        <v>21</v>
      </c>
      <c r="O7" s="6">
        <v>10.59</v>
      </c>
    </row>
    <row r="8" spans="1:15" ht="15">
      <c r="A8" s="10">
        <v>0.5</v>
      </c>
      <c r="B8" s="11">
        <f>B5*4</f>
        <v>3.2054794520547945</v>
      </c>
      <c r="C8" s="11">
        <f t="shared" si="0"/>
        <v>38.465753424657535</v>
      </c>
      <c r="D8" s="6" t="s">
        <v>44</v>
      </c>
      <c r="E8" t="s">
        <v>89</v>
      </c>
      <c r="F8" t="s">
        <v>25</v>
      </c>
      <c r="G8" s="11">
        <f>45/B1</f>
        <v>0.3082191780821918</v>
      </c>
      <c r="H8" s="11">
        <f>G8*12</f>
        <v>3.6986301369863015</v>
      </c>
      <c r="I8" s="6" t="s">
        <v>45</v>
      </c>
      <c r="K8" t="s">
        <v>30</v>
      </c>
      <c r="L8" s="12">
        <f>2352/B1</f>
        <v>16.10958904109589</v>
      </c>
      <c r="M8" s="6">
        <v>16</v>
      </c>
      <c r="N8" s="6">
        <v>10.5</v>
      </c>
      <c r="O8" s="6">
        <v>5.29</v>
      </c>
    </row>
    <row r="9" spans="1:13" ht="15">
      <c r="A9" s="10">
        <v>0.625</v>
      </c>
      <c r="B9" s="11">
        <f>B5*5</f>
        <v>4.006849315068493</v>
      </c>
      <c r="C9" s="11">
        <f t="shared" si="0"/>
        <v>48.082191780821915</v>
      </c>
      <c r="D9" s="6" t="s">
        <v>46</v>
      </c>
      <c r="E9" t="s">
        <v>92</v>
      </c>
      <c r="I9" s="6"/>
      <c r="K9" s="1" t="s">
        <v>32</v>
      </c>
      <c r="M9" s="6">
        <v>3</v>
      </c>
    </row>
    <row r="10" spans="1:9" ht="15">
      <c r="A10" s="10">
        <v>0.75</v>
      </c>
      <c r="B10" s="11">
        <f>B5*6</f>
        <v>4.808219178082192</v>
      </c>
      <c r="C10" s="11">
        <f t="shared" si="0"/>
        <v>57.6986301369863</v>
      </c>
      <c r="D10" s="6" t="s">
        <v>47</v>
      </c>
      <c r="E10" t="s">
        <v>93</v>
      </c>
      <c r="G10" s="6" t="s">
        <v>2</v>
      </c>
      <c r="H10" s="6" t="s">
        <v>3</v>
      </c>
      <c r="I10" s="6" t="s">
        <v>8</v>
      </c>
    </row>
    <row r="11" spans="1:11" ht="15">
      <c r="A11" s="9">
        <v>0.875</v>
      </c>
      <c r="B11" s="11">
        <f>B5*7</f>
        <v>5.60958904109589</v>
      </c>
      <c r="C11" s="11">
        <f t="shared" si="0"/>
        <v>67.31506849315068</v>
      </c>
      <c r="D11" s="6" t="s">
        <v>48</v>
      </c>
      <c r="E11" t="s">
        <v>94</v>
      </c>
      <c r="F11" s="8" t="s">
        <v>21</v>
      </c>
      <c r="G11" s="11">
        <f>150/B1</f>
        <v>1.0273972602739727</v>
      </c>
      <c r="H11" s="11">
        <f aca="true" t="shared" si="1" ref="H11:H16">G11*12</f>
        <v>12.328767123287673</v>
      </c>
      <c r="I11" s="6" t="s">
        <v>38</v>
      </c>
      <c r="K11" t="s">
        <v>49</v>
      </c>
    </row>
    <row r="12" spans="1:11" ht="15">
      <c r="A12" s="7">
        <v>1</v>
      </c>
      <c r="B12" s="11">
        <f>B5*8</f>
        <v>6.410958904109589</v>
      </c>
      <c r="C12" s="11">
        <f t="shared" si="0"/>
        <v>76.93150684931507</v>
      </c>
      <c r="D12" s="6" t="s">
        <v>50</v>
      </c>
      <c r="E12" t="s">
        <v>88</v>
      </c>
      <c r="F12" s="8" t="s">
        <v>22</v>
      </c>
      <c r="G12" s="11">
        <f>143/B1</f>
        <v>0.9794520547945206</v>
      </c>
      <c r="H12" s="11">
        <f t="shared" si="1"/>
        <v>11.753424657534246</v>
      </c>
      <c r="I12" s="6" t="s">
        <v>40</v>
      </c>
      <c r="K12" t="s">
        <v>51</v>
      </c>
    </row>
    <row r="13" spans="1:11" ht="15">
      <c r="A13" s="3"/>
      <c r="B13" s="5"/>
      <c r="C13" s="5"/>
      <c r="D13" s="6"/>
      <c r="F13" s="8" t="s">
        <v>23</v>
      </c>
      <c r="G13" s="11">
        <f>138/B1</f>
        <v>0.9452054794520548</v>
      </c>
      <c r="H13" s="11">
        <f t="shared" si="1"/>
        <v>11.342465753424658</v>
      </c>
      <c r="I13" s="6" t="s">
        <v>41</v>
      </c>
      <c r="K13" t="s">
        <v>52</v>
      </c>
    </row>
    <row r="14" spans="1:11" ht="18.75">
      <c r="A14" s="23" t="s">
        <v>7</v>
      </c>
      <c r="B14" s="18"/>
      <c r="C14" s="18"/>
      <c r="D14" s="18"/>
      <c r="F14" s="8" t="s">
        <v>24</v>
      </c>
      <c r="G14" s="11">
        <f>130/B1</f>
        <v>0.8904109589041096</v>
      </c>
      <c r="H14" s="11">
        <f t="shared" si="1"/>
        <v>10.684931506849315</v>
      </c>
      <c r="I14" s="6" t="s">
        <v>53</v>
      </c>
      <c r="K14" t="s">
        <v>54</v>
      </c>
    </row>
    <row r="15" spans="1:11" ht="15">
      <c r="A15" s="7" t="s">
        <v>1</v>
      </c>
      <c r="B15" s="6" t="s">
        <v>4</v>
      </c>
      <c r="C15" s="6" t="s">
        <v>5</v>
      </c>
      <c r="D15" s="6" t="s">
        <v>9</v>
      </c>
      <c r="E15" s="15" t="s">
        <v>3</v>
      </c>
      <c r="F15" s="8" t="s">
        <v>27</v>
      </c>
      <c r="G15" s="11">
        <f>120/B1</f>
        <v>0.821917808219178</v>
      </c>
      <c r="H15" s="11">
        <f t="shared" si="1"/>
        <v>9.863013698630137</v>
      </c>
      <c r="I15" s="6" t="s">
        <v>55</v>
      </c>
      <c r="K15" t="s">
        <v>56</v>
      </c>
    </row>
    <row r="16" spans="1:14" ht="15">
      <c r="A16" s="10">
        <v>0.125</v>
      </c>
      <c r="B16" s="11">
        <f>123/B1</f>
        <v>0.8424657534246576</v>
      </c>
      <c r="C16" s="11">
        <f>B16*12</f>
        <v>10.10958904109589</v>
      </c>
      <c r="D16" s="6" t="s">
        <v>57</v>
      </c>
      <c r="E16" t="s">
        <v>83</v>
      </c>
      <c r="F16" t="s">
        <v>26</v>
      </c>
      <c r="G16" s="11">
        <f>60/B1</f>
        <v>0.410958904109589</v>
      </c>
      <c r="H16" s="11">
        <f t="shared" si="1"/>
        <v>4.931506849315069</v>
      </c>
      <c r="I16" s="6" t="s">
        <v>58</v>
      </c>
      <c r="K16" s="1" t="s">
        <v>33</v>
      </c>
      <c r="L16" s="1"/>
      <c r="M16" s="1"/>
      <c r="N16" s="1"/>
    </row>
    <row r="17" spans="1:5" ht="15">
      <c r="A17" s="10">
        <v>0.25</v>
      </c>
      <c r="B17" s="11">
        <f>B16*2</f>
        <v>1.6849315068493151</v>
      </c>
      <c r="C17" s="11">
        <f aca="true" t="shared" si="2" ref="C17:C23">B17*12</f>
        <v>20.21917808219178</v>
      </c>
      <c r="D17" s="6" t="s">
        <v>59</v>
      </c>
      <c r="E17" t="s">
        <v>82</v>
      </c>
    </row>
    <row r="18" spans="1:15" ht="18.75">
      <c r="A18" s="10">
        <v>0.375</v>
      </c>
      <c r="B18" s="11">
        <f>B16*3</f>
        <v>2.5273972602739727</v>
      </c>
      <c r="C18" s="11">
        <f t="shared" si="2"/>
        <v>30.328767123287673</v>
      </c>
      <c r="D18" s="6" t="s">
        <v>60</v>
      </c>
      <c r="E18" t="s">
        <v>84</v>
      </c>
      <c r="F18" s="18" t="s">
        <v>10</v>
      </c>
      <c r="G18" s="18"/>
      <c r="H18" s="18"/>
      <c r="I18" s="18"/>
      <c r="J18" s="19"/>
      <c r="K18" s="19"/>
      <c r="L18" s="19"/>
      <c r="M18" s="19"/>
      <c r="N18" s="19"/>
      <c r="O18" s="19"/>
    </row>
    <row r="19" spans="1:15" ht="18.75">
      <c r="A19" s="10">
        <v>0.5</v>
      </c>
      <c r="B19" s="11">
        <f>B16*4</f>
        <v>3.3698630136986303</v>
      </c>
      <c r="C19" s="11">
        <f t="shared" si="2"/>
        <v>40.43835616438356</v>
      </c>
      <c r="D19" s="6" t="s">
        <v>61</v>
      </c>
      <c r="E19" t="s">
        <v>81</v>
      </c>
      <c r="G19" s="6" t="s">
        <v>4</v>
      </c>
      <c r="J19" s="6" t="s">
        <v>3</v>
      </c>
      <c r="K19" s="18" t="s">
        <v>8</v>
      </c>
      <c r="L19" s="18"/>
      <c r="M19" s="18"/>
      <c r="N19" s="18"/>
      <c r="O19" s="18"/>
    </row>
    <row r="20" spans="1:15" ht="15">
      <c r="A20" s="10">
        <v>0.625</v>
      </c>
      <c r="B20" s="11">
        <f>B16*5</f>
        <v>4.212328767123288</v>
      </c>
      <c r="C20" s="11">
        <f t="shared" si="2"/>
        <v>50.54794520547945</v>
      </c>
      <c r="D20" s="6" t="s">
        <v>62</v>
      </c>
      <c r="E20" t="s">
        <v>85</v>
      </c>
      <c r="F20" s="6" t="s">
        <v>11</v>
      </c>
      <c r="G20" s="11">
        <f>705/B1</f>
        <v>4.828767123287672</v>
      </c>
      <c r="H20" s="20" t="s">
        <v>15</v>
      </c>
      <c r="I20" s="20"/>
      <c r="J20" s="11">
        <f>G20*12</f>
        <v>57.945205479452056</v>
      </c>
      <c r="K20" s="6" t="s">
        <v>63</v>
      </c>
      <c r="L20" s="6" t="s">
        <v>2</v>
      </c>
      <c r="M20" s="19" t="s">
        <v>35</v>
      </c>
      <c r="N20" s="19"/>
      <c r="O20" s="6" t="s">
        <v>3</v>
      </c>
    </row>
    <row r="21" spans="1:15" ht="15">
      <c r="A21" s="10">
        <v>0.75</v>
      </c>
      <c r="B21" s="11">
        <f>B16*6</f>
        <v>5.054794520547945</v>
      </c>
      <c r="C21" s="11">
        <f t="shared" si="2"/>
        <v>60.657534246575345</v>
      </c>
      <c r="D21" s="6" t="s">
        <v>64</v>
      </c>
      <c r="E21" t="s">
        <v>86</v>
      </c>
      <c r="F21" s="6" t="s">
        <v>12</v>
      </c>
      <c r="G21" s="11">
        <f>234/B1</f>
        <v>1.6027397260273972</v>
      </c>
      <c r="H21" s="20" t="s">
        <v>16</v>
      </c>
      <c r="I21" s="20"/>
      <c r="J21" s="11">
        <f>G21*12</f>
        <v>19.232876712328768</v>
      </c>
      <c r="K21" s="6" t="s">
        <v>28</v>
      </c>
      <c r="L21" s="6" t="s">
        <v>2</v>
      </c>
      <c r="M21" s="19" t="s">
        <v>34</v>
      </c>
      <c r="N21" s="19"/>
      <c r="O21" s="6" t="s">
        <v>3</v>
      </c>
    </row>
    <row r="22" spans="1:15" ht="15">
      <c r="A22" s="9">
        <v>0.875</v>
      </c>
      <c r="B22" s="11">
        <f>B16*7</f>
        <v>5.897260273972603</v>
      </c>
      <c r="C22" s="11">
        <f t="shared" si="2"/>
        <v>70.76712328767124</v>
      </c>
      <c r="D22" s="6" t="s">
        <v>65</v>
      </c>
      <c r="E22" t="s">
        <v>87</v>
      </c>
      <c r="F22" s="6" t="s">
        <v>13</v>
      </c>
      <c r="G22" s="11">
        <f>23/B1</f>
        <v>0.15753424657534246</v>
      </c>
      <c r="H22" s="21" t="s">
        <v>18</v>
      </c>
      <c r="I22" s="21"/>
      <c r="J22" s="11">
        <f>G22*12</f>
        <v>1.8904109589041096</v>
      </c>
      <c r="K22" s="6" t="s">
        <v>66</v>
      </c>
      <c r="L22" s="6" t="s">
        <v>2</v>
      </c>
      <c r="M22" s="19" t="s">
        <v>36</v>
      </c>
      <c r="N22" s="19"/>
      <c r="O22" s="6" t="s">
        <v>3</v>
      </c>
    </row>
    <row r="23" spans="1:15" ht="15">
      <c r="A23" s="7">
        <v>1</v>
      </c>
      <c r="B23" s="11">
        <f>B16*8</f>
        <v>6.739726027397261</v>
      </c>
      <c r="C23" s="11">
        <f t="shared" si="2"/>
        <v>80.87671232876713</v>
      </c>
      <c r="D23" s="6" t="s">
        <v>67</v>
      </c>
      <c r="E23" t="s">
        <v>80</v>
      </c>
      <c r="F23" s="6" t="s">
        <v>14</v>
      </c>
      <c r="G23" s="11">
        <f>22/B1</f>
        <v>0.1506849315068493</v>
      </c>
      <c r="H23" s="22" t="s">
        <v>17</v>
      </c>
      <c r="I23" s="22"/>
      <c r="J23" s="11">
        <f>G23*12</f>
        <v>1.8082191780821917</v>
      </c>
      <c r="K23" s="6" t="s">
        <v>68</v>
      </c>
      <c r="L23" s="6" t="s">
        <v>2</v>
      </c>
      <c r="M23" s="19" t="s">
        <v>37</v>
      </c>
      <c r="N23" s="19"/>
      <c r="O23" s="6" t="s">
        <v>3</v>
      </c>
    </row>
    <row r="24" spans="1:15" ht="15">
      <c r="A24" s="7"/>
      <c r="B24" s="11"/>
      <c r="C24" s="11"/>
      <c r="D24" s="13"/>
      <c r="F24" s="13"/>
      <c r="G24" s="11"/>
      <c r="H24" s="14"/>
      <c r="I24" s="14"/>
      <c r="J24" s="11"/>
      <c r="K24" s="13"/>
      <c r="L24" s="13"/>
      <c r="M24" s="13"/>
      <c r="N24" s="13"/>
      <c r="O24" s="13"/>
    </row>
    <row r="25" spans="1:15" ht="18.75">
      <c r="A25" s="17" t="s">
        <v>79</v>
      </c>
      <c r="B25" s="18"/>
      <c r="C25" s="18"/>
      <c r="D25" s="18"/>
      <c r="E25" s="18"/>
      <c r="F25" s="18"/>
      <c r="G25" s="18"/>
      <c r="H25" s="14"/>
      <c r="I25" s="14"/>
      <c r="J25" s="11"/>
      <c r="K25" s="13"/>
      <c r="L25" s="13"/>
      <c r="M25" s="13"/>
      <c r="N25" s="13"/>
      <c r="O25" s="13"/>
    </row>
    <row r="26" spans="1:15" ht="15">
      <c r="A26" s="7"/>
      <c r="C26" s="11" t="s">
        <v>77</v>
      </c>
      <c r="D26" s="13" t="s">
        <v>78</v>
      </c>
      <c r="F26" s="13"/>
      <c r="G26" s="11"/>
      <c r="H26" s="14"/>
      <c r="I26" s="14"/>
      <c r="J26" s="11"/>
      <c r="K26" s="13"/>
      <c r="L26" s="13"/>
      <c r="M26" s="13"/>
      <c r="N26" s="13"/>
      <c r="O26" s="13"/>
    </row>
    <row r="27" spans="1:15" ht="15">
      <c r="A27" s="7"/>
      <c r="B27" s="16" t="s">
        <v>21</v>
      </c>
      <c r="C27" s="11">
        <f>1030/B1</f>
        <v>7.054794520547945</v>
      </c>
      <c r="D27" s="11">
        <f>C27*4</f>
        <v>28.21917808219178</v>
      </c>
      <c r="F27" s="13"/>
      <c r="G27" s="11"/>
      <c r="H27" s="14"/>
      <c r="I27" s="14"/>
      <c r="J27" s="11"/>
      <c r="K27" s="13"/>
      <c r="L27" s="13"/>
      <c r="M27" s="13"/>
      <c r="N27" s="13"/>
      <c r="O27" s="13"/>
    </row>
    <row r="28" spans="1:15" ht="15">
      <c r="A28" s="7"/>
      <c r="B28" s="16" t="s">
        <v>70</v>
      </c>
      <c r="C28" s="11">
        <f>1005/B1</f>
        <v>6.883561643835616</v>
      </c>
      <c r="D28" s="11">
        <f>C28*4</f>
        <v>27.534246575342465</v>
      </c>
      <c r="F28" s="13"/>
      <c r="G28" s="11"/>
      <c r="H28" s="14"/>
      <c r="I28" s="14"/>
      <c r="J28" s="11"/>
      <c r="K28" s="13"/>
      <c r="L28" s="13"/>
      <c r="M28" s="13"/>
      <c r="N28" s="13"/>
      <c r="O28" s="13"/>
    </row>
    <row r="29" spans="1:15" ht="15">
      <c r="A29" s="7"/>
      <c r="B29" s="16" t="s">
        <v>71</v>
      </c>
      <c r="C29" s="11">
        <f>975/B1</f>
        <v>6.678082191780822</v>
      </c>
      <c r="D29" s="11">
        <f>C29*4</f>
        <v>26.71232876712329</v>
      </c>
      <c r="F29" s="13"/>
      <c r="G29" s="11"/>
      <c r="H29" s="14"/>
      <c r="I29" s="14"/>
      <c r="J29" s="11"/>
      <c r="K29" s="13"/>
      <c r="L29" s="13"/>
      <c r="M29" s="13"/>
      <c r="N29" s="13"/>
      <c r="O29" s="13"/>
    </row>
    <row r="30" spans="1:15" ht="15">
      <c r="A30" s="7"/>
      <c r="B30" s="16" t="s">
        <v>72</v>
      </c>
      <c r="C30" s="11">
        <f>975/B1</f>
        <v>6.678082191780822</v>
      </c>
      <c r="D30" s="11">
        <f>C30*4</f>
        <v>26.71232876712329</v>
      </c>
      <c r="F30" s="13"/>
      <c r="G30" s="11"/>
      <c r="H30" s="14"/>
      <c r="I30" s="14"/>
      <c r="J30" s="11"/>
      <c r="K30" s="13"/>
      <c r="L30" s="13"/>
      <c r="M30" s="13"/>
      <c r="N30" s="13"/>
      <c r="O30" s="13"/>
    </row>
    <row r="31" spans="1:15" ht="15">
      <c r="A31" s="7"/>
      <c r="B31" s="16" t="s">
        <v>30</v>
      </c>
      <c r="C31" s="11">
        <f>232/B1</f>
        <v>1.5890410958904109</v>
      </c>
      <c r="D31" s="13"/>
      <c r="F31" s="13"/>
      <c r="G31" s="11"/>
      <c r="H31" s="14"/>
      <c r="I31" s="14"/>
      <c r="J31" s="11"/>
      <c r="K31" s="13"/>
      <c r="L31" s="13"/>
      <c r="M31" s="13"/>
      <c r="N31" s="13"/>
      <c r="O31" s="13"/>
    </row>
    <row r="32" spans="1:15" ht="15">
      <c r="A32" s="7"/>
      <c r="B32" s="16" t="s">
        <v>73</v>
      </c>
      <c r="C32" s="11">
        <f>42.75/B1</f>
        <v>0.2928082191780822</v>
      </c>
      <c r="D32" s="13"/>
      <c r="F32" s="13"/>
      <c r="G32" s="11"/>
      <c r="H32" s="14"/>
      <c r="I32" s="14"/>
      <c r="J32" s="11"/>
      <c r="K32" s="13"/>
      <c r="L32" s="13"/>
      <c r="M32" s="13"/>
      <c r="N32" s="13"/>
      <c r="O32" s="13"/>
    </row>
    <row r="33" spans="1:15" ht="15">
      <c r="A33" s="7"/>
      <c r="B33" s="16" t="s">
        <v>74</v>
      </c>
      <c r="C33" s="11">
        <f>13.74/B1</f>
        <v>0.0941095890410959</v>
      </c>
      <c r="D33" s="13"/>
      <c r="F33" s="13"/>
      <c r="G33" s="11"/>
      <c r="H33" s="14"/>
      <c r="I33" s="14"/>
      <c r="J33" s="11"/>
      <c r="K33" s="13"/>
      <c r="L33" s="13"/>
      <c r="M33" s="13"/>
      <c r="N33" s="13"/>
      <c r="O33" s="13"/>
    </row>
    <row r="34" spans="1:15" ht="15">
      <c r="A34" s="7"/>
      <c r="B34" s="11" t="s">
        <v>75</v>
      </c>
      <c r="C34" s="11">
        <f>2930/B1</f>
        <v>20.068493150684933</v>
      </c>
      <c r="D34" s="13" t="s">
        <v>76</v>
      </c>
      <c r="F34" s="13"/>
      <c r="G34" s="11"/>
      <c r="H34" s="14"/>
      <c r="I34" s="14"/>
      <c r="J34" s="11"/>
      <c r="K34" s="13"/>
      <c r="L34" s="13"/>
      <c r="M34" s="13"/>
      <c r="N34" s="13"/>
      <c r="O34" s="13"/>
    </row>
    <row r="35" spans="1:15" ht="15">
      <c r="A35" s="7"/>
      <c r="B35" s="11"/>
      <c r="C35" s="11"/>
      <c r="D35" s="13"/>
      <c r="F35" s="13"/>
      <c r="G35" s="11"/>
      <c r="H35" s="14"/>
      <c r="I35" s="14"/>
      <c r="J35" s="11"/>
      <c r="K35" s="13"/>
      <c r="L35" s="13"/>
      <c r="M35" s="13"/>
      <c r="N35" s="13"/>
      <c r="O35" s="13"/>
    </row>
  </sheetData>
  <sheetProtection/>
  <mergeCells count="15">
    <mergeCell ref="A3:D3"/>
    <mergeCell ref="F1:I1"/>
    <mergeCell ref="A14:D14"/>
    <mergeCell ref="K1:O1"/>
    <mergeCell ref="F18:O18"/>
    <mergeCell ref="H20:I20"/>
    <mergeCell ref="H21:I21"/>
    <mergeCell ref="H22:I22"/>
    <mergeCell ref="H23:I23"/>
    <mergeCell ref="A25:G25"/>
    <mergeCell ref="M20:N20"/>
    <mergeCell ref="M21:N21"/>
    <mergeCell ref="M22:N22"/>
    <mergeCell ref="M23:N23"/>
    <mergeCell ref="K19:O19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Brad</cp:lastModifiedBy>
  <dcterms:created xsi:type="dcterms:W3CDTF">2012-01-21T05:02:53Z</dcterms:created>
  <dcterms:modified xsi:type="dcterms:W3CDTF">2013-08-22T07:16:19Z</dcterms:modified>
  <cp:category/>
  <cp:version/>
  <cp:contentType/>
  <cp:contentStatus/>
</cp:coreProperties>
</file>